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 Wilson's PC\Google Drive\Financial Models\"/>
    </mc:Choice>
  </mc:AlternateContent>
  <bookViews>
    <workbookView xWindow="0" yWindow="0" windowWidth="28800" windowHeight="12435"/>
  </bookViews>
  <sheets>
    <sheet name="Advisor Revenue Model" sheetId="17" r:id="rId1"/>
    <sheet name="Profit Illustration" sheetId="8" r:id="rId2"/>
  </sheets>
  <definedNames>
    <definedName name="ApptTiers">'Advisor Revenue Model'!$E$20:$E$25</definedName>
    <definedName name="Tier_1">'Advisor Revenue Model'!$E$20:$E$25</definedName>
    <definedName name="Tier_3">'Advisor Revenue Model'!$G$9:$H$15</definedName>
    <definedName name="Tiers">'Advisor Revenue Model'!$G$9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17" l="1"/>
  <c r="D12" i="8" l="1"/>
  <c r="D10" i="8" l="1"/>
  <c r="M9" i="17" l="1"/>
  <c r="AU10" i="17" l="1"/>
  <c r="AE9" i="17" s="1"/>
  <c r="AO10" i="17" l="1"/>
  <c r="W9" i="17"/>
  <c r="W11" i="17" l="1"/>
  <c r="W12" i="17"/>
  <c r="W10" i="17"/>
  <c r="AC9" i="17" l="1"/>
  <c r="AU11" i="17"/>
  <c r="AE10" i="17" s="1"/>
  <c r="AU12" i="17"/>
  <c r="AE11" i="17" s="1"/>
  <c r="AU13" i="17"/>
  <c r="AE12" i="17" s="1"/>
  <c r="AU14" i="17"/>
  <c r="AE13" i="17" s="1"/>
  <c r="AU15" i="17"/>
  <c r="AE14" i="17" s="1"/>
  <c r="AU16" i="17"/>
  <c r="AE15" i="17" s="1"/>
  <c r="AU9" i="17"/>
  <c r="AC13" i="17" l="1"/>
  <c r="AC12" i="17"/>
  <c r="AC15" i="17"/>
  <c r="AC11" i="17"/>
  <c r="AC14" i="17"/>
  <c r="AC10" i="17"/>
  <c r="AO9" i="17"/>
  <c r="U9" i="17" s="1"/>
  <c r="AO13" i="17"/>
  <c r="U12" i="17" s="1"/>
  <c r="AO12" i="17"/>
  <c r="U11" i="17" s="1"/>
  <c r="AO11" i="17"/>
  <c r="U10" i="17" s="1"/>
  <c r="K10" i="17"/>
  <c r="M10" i="17" s="1"/>
  <c r="O10" i="17" s="1"/>
  <c r="AG10" i="17" s="1"/>
  <c r="O9" i="17"/>
  <c r="AI9" i="17" s="1"/>
  <c r="AI17" i="17" l="1"/>
  <c r="AG9" i="17"/>
  <c r="Y10" i="17"/>
  <c r="Y9" i="17"/>
  <c r="W17" i="17"/>
  <c r="AE17" i="17"/>
  <c r="AA9" i="17"/>
  <c r="U17" i="17"/>
  <c r="K11" i="17"/>
  <c r="K12" i="17" s="1"/>
  <c r="K13" i="17" s="1"/>
  <c r="K14" i="17" s="1"/>
  <c r="K15" i="17" s="1"/>
  <c r="AC17" i="17"/>
  <c r="AI21" i="17" l="1"/>
  <c r="M11" i="17"/>
  <c r="Y11" i="17" s="1"/>
  <c r="M12" i="17"/>
  <c r="Y12" i="17" s="1"/>
  <c r="Y17" i="17" l="1"/>
  <c r="O11" i="17"/>
  <c r="AG11" i="17" s="1"/>
  <c r="O12" i="17"/>
  <c r="AG12" i="17" s="1"/>
  <c r="M13" i="17"/>
  <c r="M14" i="17" l="1"/>
  <c r="O13" i="17"/>
  <c r="AG13" i="17" s="1"/>
  <c r="AA17" i="17" l="1"/>
  <c r="M15" i="17"/>
  <c r="O14" i="17"/>
  <c r="AG14" i="17" s="1"/>
  <c r="O15" i="17" l="1"/>
  <c r="AG15" i="17" s="1"/>
  <c r="K17" i="17"/>
  <c r="O17" i="17" l="1"/>
  <c r="M17" i="17"/>
  <c r="AG17" i="17" l="1"/>
  <c r="AI22" i="17" s="1"/>
  <c r="S15" i="17" l="1"/>
  <c r="S14" i="17"/>
  <c r="S13" i="17"/>
  <c r="S12" i="17"/>
  <c r="S11" i="17"/>
  <c r="S10" i="17" l="1"/>
  <c r="S17" i="17" s="1"/>
  <c r="AI20" i="17" s="1"/>
  <c r="AI23" i="17" s="1"/>
  <c r="Q17" i="17"/>
  <c r="F15" i="8" l="1"/>
  <c r="D15" i="8" l="1"/>
  <c r="H15" i="8" l="1"/>
</calcChain>
</file>

<file path=xl/sharedStrings.xml><?xml version="1.0" encoding="utf-8"?>
<sst xmlns="http://schemas.openxmlformats.org/spreadsheetml/2006/main" count="106" uniqueCount="78">
  <si>
    <t>Installs</t>
  </si>
  <si>
    <t>Powur PBC</t>
  </si>
  <si>
    <t>TOTAL</t>
  </si>
  <si>
    <t>Generation</t>
  </si>
  <si>
    <t>Total</t>
  </si>
  <si>
    <t>Personal</t>
  </si>
  <si>
    <t>Recruited</t>
  </si>
  <si>
    <t>Appt's</t>
  </si>
  <si>
    <t>Tier 1</t>
  </si>
  <si>
    <t>Tier 2</t>
  </si>
  <si>
    <t>Tier 3</t>
  </si>
  <si>
    <t>Income</t>
  </si>
  <si>
    <t>Expense</t>
  </si>
  <si>
    <t>Profit/</t>
  </si>
  <si>
    <t>(Loss)</t>
  </si>
  <si>
    <t>Future costs to continue with Powur</t>
  </si>
  <si>
    <t>Zero</t>
  </si>
  <si>
    <t>Unlimited</t>
  </si>
  <si>
    <t>Install bonus potential</t>
  </si>
  <si>
    <t>Spend as much or as little time as you choose building your business - you take control</t>
  </si>
  <si>
    <t>You never have to buy any products or hold any inventory</t>
  </si>
  <si>
    <t>Team LABs</t>
  </si>
  <si>
    <t>Appointment Bonuses</t>
  </si>
  <si>
    <t>1st Generation</t>
  </si>
  <si>
    <t>2nd Generation</t>
  </si>
  <si>
    <t>3rd Generation</t>
  </si>
  <si>
    <t>4th Generation</t>
  </si>
  <si>
    <t>5th Generation</t>
  </si>
  <si>
    <t>6th Generation</t>
  </si>
  <si>
    <t>Install Bonuses</t>
  </si>
  <si>
    <t>You never have to sell any product - our leading solar installer partners do all the selling</t>
  </si>
  <si>
    <t>Appointment bonus potential</t>
  </si>
  <si>
    <t>Weighting</t>
  </si>
  <si>
    <t>Appointments</t>
  </si>
  <si>
    <t>Per Year</t>
  </si>
  <si>
    <t>Conversion</t>
  </si>
  <si>
    <t>Rate</t>
  </si>
  <si>
    <t>Revenue Tiers</t>
  </si>
  <si>
    <t>Appts</t>
  </si>
  <si>
    <t>1-5</t>
  </si>
  <si>
    <t>6+</t>
  </si>
  <si>
    <t>Avg System</t>
  </si>
  <si>
    <t>Size: kW</t>
  </si>
  <si>
    <t>4+</t>
  </si>
  <si>
    <t>Avg</t>
  </si>
  <si>
    <t>Cert. Advisor</t>
  </si>
  <si>
    <t>Wtd</t>
  </si>
  <si>
    <t>BONUSES</t>
  </si>
  <si>
    <t>PERSONAL INCOME</t>
  </si>
  <si>
    <t>PASSIVE INCOME</t>
  </si>
  <si>
    <t>Certified Advisor Bonus (5 Appointments)</t>
  </si>
  <si>
    <t>Referrer: 1-5</t>
  </si>
  <si>
    <t>Referrer: 6+</t>
  </si>
  <si>
    <t>Referrer: 1-3</t>
  </si>
  <si>
    <t>Referrer: 4+</t>
  </si>
  <si>
    <t>INSTRUCTIONS</t>
  </si>
  <si>
    <t>See how much you earn in the green box</t>
  </si>
  <si>
    <t>Make assumptions by changing the cells highlighted yellow and</t>
  </si>
  <si>
    <t>* Assumes all 3 installs result from appointments set in Q1 and Powur Players Club Bonus paid at increased level of $2,000</t>
  </si>
  <si>
    <t>Players Club Bonus*</t>
  </si>
  <si>
    <t>All examples in this document are for illustration purposes only, and not a guarantee of income.  Your results are entirely up to you and your own efforts.</t>
  </si>
  <si>
    <t>Total after three installs</t>
  </si>
  <si>
    <t>Can you find 15 homeowners who would like to save money on their electric bill while switching to clean energy with no money down?</t>
  </si>
  <si>
    <t>Powur Players Club Bonus (3 installs)</t>
  </si>
  <si>
    <t>Powur Advisor Revenue Model</t>
  </si>
  <si>
    <t>Advisors</t>
  </si>
  <si>
    <t>Average</t>
  </si>
  <si>
    <t>Per Advisor</t>
  </si>
  <si>
    <t>Set 15 Appointments</t>
  </si>
  <si>
    <t>Three 7kW installs</t>
  </si>
  <si>
    <t>If so, you can make a few thousand bucks and be in business for life at no cost, with unlimited earning potential</t>
  </si>
  <si>
    <t>1-3</t>
  </si>
  <si>
    <t>One-time Platform License</t>
  </si>
  <si>
    <t>Advisor LAB bonus potential</t>
  </si>
  <si>
    <t>Powur Advisor Profit Illustration</t>
  </si>
  <si>
    <t>Systems</t>
  </si>
  <si>
    <t>TOTAL ANNUAL INCOME</t>
  </si>
  <si>
    <t>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</si>
</sst>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_(* #,##0.0\ \k\W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4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2" xfId="0" applyNumberFormat="1" applyBorder="1"/>
    <xf numFmtId="44" fontId="0" fillId="0" borderId="2" xfId="0" applyNumberFormat="1" applyBorder="1"/>
    <xf numFmtId="165" fontId="0" fillId="0" borderId="2" xfId="0" applyNumberForma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0" borderId="1" xfId="0" applyBorder="1" applyAlignment="1">
      <alignment horizontal="center"/>
    </xf>
    <xf numFmtId="165" fontId="0" fillId="0" borderId="3" xfId="2" applyNumberFormat="1" applyFont="1" applyBorder="1"/>
    <xf numFmtId="44" fontId="2" fillId="0" borderId="0" xfId="2" applyNumberFormat="1" applyFont="1"/>
    <xf numFmtId="44" fontId="5" fillId="0" borderId="0" xfId="2" applyNumberFormat="1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164" fontId="2" fillId="2" borderId="13" xfId="1" applyNumberFormat="1" applyFont="1" applyFill="1" applyBorder="1"/>
    <xf numFmtId="9" fontId="2" fillId="2" borderId="13" xfId="3" applyFont="1" applyFill="1" applyBorder="1"/>
    <xf numFmtId="164" fontId="2" fillId="2" borderId="14" xfId="1" applyNumberFormat="1" applyFont="1" applyFill="1" applyBorder="1"/>
    <xf numFmtId="164" fontId="2" fillId="2" borderId="16" xfId="1" applyNumberFormat="1" applyFont="1" applyFill="1" applyBorder="1"/>
    <xf numFmtId="9" fontId="2" fillId="2" borderId="16" xfId="3" applyFont="1" applyFill="1" applyBorder="1"/>
    <xf numFmtId="0" fontId="0" fillId="0" borderId="1" xfId="0" quotePrefix="1" applyFont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165" fontId="5" fillId="0" borderId="0" xfId="2" applyNumberFormat="1" applyFont="1"/>
    <xf numFmtId="9" fontId="2" fillId="2" borderId="12" xfId="3" applyFont="1" applyFill="1" applyBorder="1"/>
    <xf numFmtId="9" fontId="2" fillId="2" borderId="17" xfId="3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left" indent="1"/>
    </xf>
    <xf numFmtId="44" fontId="0" fillId="0" borderId="0" xfId="2" applyFont="1" applyFill="1" applyBorder="1"/>
    <xf numFmtId="0" fontId="6" fillId="0" borderId="0" xfId="0" applyFont="1" applyAlignment="1">
      <alignment horizontal="center"/>
    </xf>
    <xf numFmtId="9" fontId="0" fillId="0" borderId="0" xfId="3" applyFont="1" applyAlignment="1">
      <alignment horizontal="center"/>
    </xf>
    <xf numFmtId="166" fontId="0" fillId="0" borderId="0" xfId="2" applyNumberFormat="1" applyFont="1" applyFill="1" applyBorder="1"/>
    <xf numFmtId="44" fontId="5" fillId="0" borderId="0" xfId="2" applyFo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8" xfId="0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0" fillId="0" borderId="15" xfId="1" applyNumberFormat="1" applyFont="1" applyFill="1" applyBorder="1"/>
    <xf numFmtId="164" fontId="0" fillId="0" borderId="13" xfId="1" applyNumberFormat="1" applyFont="1" applyFill="1" applyBorder="1"/>
    <xf numFmtId="164" fontId="0" fillId="0" borderId="16" xfId="1" applyNumberFormat="1" applyFont="1" applyFill="1" applyBorder="1"/>
    <xf numFmtId="167" fontId="2" fillId="2" borderId="18" xfId="1" applyNumberFormat="1" applyFont="1" applyFill="1" applyBorder="1"/>
    <xf numFmtId="167" fontId="2" fillId="2" borderId="19" xfId="1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0" fillId="3" borderId="9" xfId="0" applyFill="1" applyBorder="1"/>
    <xf numFmtId="165" fontId="3" fillId="3" borderId="0" xfId="0" applyNumberFormat="1" applyFont="1" applyFill="1" applyBorder="1"/>
    <xf numFmtId="0" fontId="0" fillId="0" borderId="6" xfId="0" applyBorder="1"/>
    <xf numFmtId="0" fontId="0" fillId="0" borderId="11" xfId="0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7" fillId="0" borderId="0" xfId="0" applyFont="1"/>
    <xf numFmtId="44" fontId="0" fillId="0" borderId="2" xfId="2" applyFont="1" applyBorder="1"/>
    <xf numFmtId="0" fontId="6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3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tabSelected="1" zoomScaleNormal="100" workbookViewId="0">
      <selection activeCell="B3" sqref="B3"/>
    </sheetView>
  </sheetViews>
  <sheetFormatPr defaultRowHeight="15" outlineLevelCol="1" x14ac:dyDescent="0.25"/>
  <cols>
    <col min="1" max="1" width="2.7109375" customWidth="1"/>
    <col min="2" max="2" width="11" bestFit="1" customWidth="1"/>
    <col min="3" max="3" width="1.7109375" customWidth="1"/>
    <col min="4" max="4" width="10.7109375" customWidth="1"/>
    <col min="5" max="5" width="13.85546875" bestFit="1" customWidth="1"/>
    <col min="6" max="9" width="10.7109375" customWidth="1"/>
    <col min="10" max="10" width="3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  <col min="16" max="16" width="1.7109375" customWidth="1"/>
    <col min="17" max="17" width="11.140625" bestFit="1" customWidth="1"/>
    <col min="18" max="18" width="1.7109375" customWidth="1"/>
    <col min="19" max="19" width="11.5703125" bestFit="1" customWidth="1"/>
    <col min="20" max="20" width="3.710937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1.5703125" bestFit="1" customWidth="1"/>
    <col min="26" max="26" width="1.7109375" customWidth="1"/>
    <col min="27" max="27" width="12.42578125" bestFit="1" customWidth="1"/>
    <col min="28" max="28" width="3.7109375" customWidth="1"/>
    <col min="29" max="29" width="10.7109375" customWidth="1"/>
    <col min="30" max="30" width="1.7109375" customWidth="1"/>
    <col min="31" max="31" width="10.7109375" customWidth="1"/>
    <col min="32" max="32" width="1.7109375" customWidth="1"/>
    <col min="33" max="33" width="11.5703125" bestFit="1" customWidth="1"/>
    <col min="34" max="34" width="1.7109375" customWidth="1"/>
    <col min="35" max="35" width="19" bestFit="1" customWidth="1"/>
    <col min="36" max="36" width="1.7109375" customWidth="1"/>
    <col min="37" max="37" width="17" hidden="1" customWidth="1" outlineLevel="1"/>
    <col min="38" max="41" width="9.140625" hidden="1" customWidth="1" outlineLevel="1"/>
    <col min="42" max="42" width="1.7109375" hidden="1" customWidth="1" outlineLevel="1"/>
    <col min="43" max="43" width="16.140625" hidden="1" customWidth="1" outlineLevel="1"/>
    <col min="44" max="47" width="9.140625" hidden="1" customWidth="1" outlineLevel="1"/>
    <col min="48" max="48" width="9.140625" collapsed="1"/>
  </cols>
  <sheetData>
    <row r="1" spans="1:47" x14ac:dyDescent="0.25">
      <c r="A1" t="s">
        <v>1</v>
      </c>
    </row>
    <row r="2" spans="1:47" x14ac:dyDescent="0.25">
      <c r="A2" t="s">
        <v>64</v>
      </c>
    </row>
    <row r="5" spans="1:47" ht="15.75" thickBot="1" x14ac:dyDescent="0.3">
      <c r="AR5" s="71"/>
      <c r="AS5" s="71"/>
      <c r="AT5" s="71"/>
    </row>
    <row r="6" spans="1:47" x14ac:dyDescent="0.25">
      <c r="D6" s="36" t="s">
        <v>65</v>
      </c>
      <c r="E6" s="37" t="s">
        <v>33</v>
      </c>
      <c r="F6" s="37" t="s">
        <v>35</v>
      </c>
      <c r="G6" s="70" t="s">
        <v>37</v>
      </c>
      <c r="H6" s="70"/>
      <c r="I6" s="38" t="s">
        <v>41</v>
      </c>
      <c r="Q6" s="72" t="s">
        <v>21</v>
      </c>
      <c r="R6" s="72"/>
      <c r="S6" s="72"/>
      <c r="U6" s="72" t="s">
        <v>22</v>
      </c>
      <c r="V6" s="72"/>
      <c r="W6" s="72"/>
      <c r="X6" s="72"/>
      <c r="Y6" s="72"/>
      <c r="Z6" s="72"/>
      <c r="AA6" s="72"/>
      <c r="AC6" s="72" t="s">
        <v>29</v>
      </c>
      <c r="AD6" s="72"/>
      <c r="AE6" s="72"/>
      <c r="AF6" s="72"/>
      <c r="AG6" s="72"/>
      <c r="AH6" s="72"/>
      <c r="AI6" s="72"/>
      <c r="AK6" t="s">
        <v>32</v>
      </c>
      <c r="AL6" s="33">
        <v>0.51</v>
      </c>
      <c r="AM6" s="33">
        <v>0.49</v>
      </c>
      <c r="AN6" s="33">
        <v>0</v>
      </c>
      <c r="AO6" s="33" t="s">
        <v>46</v>
      </c>
      <c r="AQ6" t="s">
        <v>32</v>
      </c>
      <c r="AR6" s="33">
        <v>0.32</v>
      </c>
      <c r="AS6" s="33">
        <v>0.53</v>
      </c>
      <c r="AT6" s="33">
        <v>0.15</v>
      </c>
      <c r="AU6" s="33" t="s">
        <v>46</v>
      </c>
    </row>
    <row r="7" spans="1:47" x14ac:dyDescent="0.25">
      <c r="B7" s="15" t="s">
        <v>3</v>
      </c>
      <c r="C7" s="7"/>
      <c r="D7" s="39" t="s">
        <v>6</v>
      </c>
      <c r="E7" s="40" t="s">
        <v>34</v>
      </c>
      <c r="F7" s="40" t="s">
        <v>36</v>
      </c>
      <c r="G7" s="40" t="s">
        <v>38</v>
      </c>
      <c r="H7" s="40" t="s">
        <v>0</v>
      </c>
      <c r="I7" s="41" t="s">
        <v>42</v>
      </c>
      <c r="K7" s="15" t="s">
        <v>65</v>
      </c>
      <c r="L7" s="7"/>
      <c r="M7" s="15" t="s">
        <v>7</v>
      </c>
      <c r="N7" s="7"/>
      <c r="O7" s="15" t="s">
        <v>0</v>
      </c>
      <c r="P7" s="7"/>
      <c r="Q7" s="15" t="s">
        <v>67</v>
      </c>
      <c r="S7" s="15" t="s">
        <v>4</v>
      </c>
      <c r="U7" s="23" t="s">
        <v>39</v>
      </c>
      <c r="W7" s="23" t="s">
        <v>40</v>
      </c>
      <c r="Y7" s="15" t="s">
        <v>4</v>
      </c>
      <c r="AA7" s="23" t="s">
        <v>45</v>
      </c>
      <c r="AC7" s="23" t="s">
        <v>71</v>
      </c>
      <c r="AE7" s="23" t="s">
        <v>43</v>
      </c>
      <c r="AG7" s="15" t="s">
        <v>4</v>
      </c>
      <c r="AI7" s="15" t="s">
        <v>59</v>
      </c>
      <c r="AL7" s="32" t="s">
        <v>8</v>
      </c>
      <c r="AM7" s="32" t="s">
        <v>9</v>
      </c>
      <c r="AN7" s="32" t="s">
        <v>10</v>
      </c>
      <c r="AO7" s="32" t="s">
        <v>44</v>
      </c>
      <c r="AR7" s="32" t="s">
        <v>8</v>
      </c>
      <c r="AS7" s="32" t="s">
        <v>9</v>
      </c>
      <c r="AT7" s="32" t="s">
        <v>10</v>
      </c>
      <c r="AU7" s="32" t="s">
        <v>44</v>
      </c>
    </row>
    <row r="8" spans="1:47" x14ac:dyDescent="0.25">
      <c r="B8" s="16"/>
      <c r="C8" s="7"/>
      <c r="D8" s="24"/>
      <c r="E8" s="25"/>
      <c r="F8" s="25"/>
      <c r="G8" s="25"/>
      <c r="H8" s="25"/>
      <c r="I8" s="42"/>
      <c r="P8" s="7"/>
      <c r="AK8" s="29" t="s">
        <v>33</v>
      </c>
      <c r="AL8" s="25"/>
      <c r="AM8" s="25"/>
      <c r="AN8" s="25"/>
      <c r="AO8" s="25"/>
      <c r="AQ8" s="29" t="s">
        <v>75</v>
      </c>
      <c r="AR8" s="25"/>
      <c r="AS8" s="25"/>
      <c r="AT8" s="25"/>
    </row>
    <row r="9" spans="1:47" x14ac:dyDescent="0.25">
      <c r="B9" s="9" t="s">
        <v>5</v>
      </c>
      <c r="D9" s="20">
        <v>10</v>
      </c>
      <c r="E9" s="18">
        <v>18</v>
      </c>
      <c r="F9" s="27">
        <v>0.2</v>
      </c>
      <c r="G9" s="19" t="s">
        <v>66</v>
      </c>
      <c r="H9" s="19" t="s">
        <v>66</v>
      </c>
      <c r="I9" s="48">
        <v>7</v>
      </c>
      <c r="M9" s="2">
        <f>ROUND(E9,)</f>
        <v>18</v>
      </c>
      <c r="O9" s="2">
        <f>ROUND(M9*$F9,0)</f>
        <v>4</v>
      </c>
      <c r="Q9" s="3"/>
      <c r="S9" s="3"/>
      <c r="U9" s="14">
        <f>IF(G9="Tier 1",AL9,IF(G9="Tier 2",AM9,IF(G9="Tier 3",AN9,IF(G9="Average",AO9,"Err"))))</f>
        <v>0</v>
      </c>
      <c r="W9" s="14">
        <f>IF(G9="Tier 1",AL10,IF(G9="Tier 2",AM10,IF(G9="Tier 3",AN10,IF(G9="Average",AO10,"Err"))))</f>
        <v>25.1</v>
      </c>
      <c r="Y9" s="3">
        <f>IF(M9&gt;4,(M9-5)*W9,0)</f>
        <v>326.3</v>
      </c>
      <c r="AA9" s="26">
        <f>IF(M9&gt;4,200,0)</f>
        <v>200</v>
      </c>
      <c r="AC9" s="35">
        <f>IF(H9="Tier 1",AR9,IF(H9="Tier 2",AS9,IF(H9="Tier 3",AT9,IF(H9="Average",AU9,"Err"))))*I9*1000</f>
        <v>227.15000000000003</v>
      </c>
      <c r="AD9" s="1"/>
      <c r="AE9" s="35">
        <f t="shared" ref="AE9:AE15" si="0">IF(H9="Tier 1",AR10,IF(H9="Tier 2",AS10,IF(H9="Tier 3",AT10,IF(H9="Average",AU10,"Err"))))*I9*1000</f>
        <v>454.30000000000007</v>
      </c>
      <c r="AG9" s="3">
        <f>IF(O9&gt;3,(O9-3)*AE9+AC9*3,O9*AC9)</f>
        <v>1135.75</v>
      </c>
      <c r="AI9" s="26">
        <f>IF(O9&gt;2,2000,0)</f>
        <v>2000</v>
      </c>
      <c r="AK9" s="30" t="s">
        <v>51</v>
      </c>
      <c r="AL9" s="31">
        <v>0</v>
      </c>
      <c r="AM9" s="31">
        <v>0</v>
      </c>
      <c r="AN9" s="31">
        <v>0</v>
      </c>
      <c r="AO9" s="31">
        <f>AL$6*AL9+AM$6*AM9+AN$6*AN9</f>
        <v>0</v>
      </c>
      <c r="AQ9" s="30" t="s">
        <v>53</v>
      </c>
      <c r="AR9" s="34">
        <v>0.04</v>
      </c>
      <c r="AS9" s="34">
        <v>0.03</v>
      </c>
      <c r="AT9" s="34">
        <v>2.5000000000000001E-2</v>
      </c>
      <c r="AU9" s="34">
        <f>AR$6*AR9+AS$6*AS9+AT$6*AT9</f>
        <v>3.2450000000000007E-2</v>
      </c>
    </row>
    <row r="10" spans="1:47" x14ac:dyDescent="0.25">
      <c r="B10">
        <v>1</v>
      </c>
      <c r="D10" s="20">
        <v>3</v>
      </c>
      <c r="E10" s="18">
        <v>12</v>
      </c>
      <c r="F10" s="27">
        <v>0.2</v>
      </c>
      <c r="G10" s="19" t="s">
        <v>66</v>
      </c>
      <c r="H10" s="19" t="s">
        <v>66</v>
      </c>
      <c r="I10" s="48">
        <v>7</v>
      </c>
      <c r="K10" s="2">
        <f>ROUND(D9,0)</f>
        <v>10</v>
      </c>
      <c r="M10" s="2">
        <f t="shared" ref="M10:M15" si="1">ROUND(K10*E10,0)</f>
        <v>120</v>
      </c>
      <c r="O10" s="2">
        <f t="shared" ref="O10:O15" si="2">ROUND(M10*$F10,0)</f>
        <v>24</v>
      </c>
      <c r="Q10" s="3">
        <v>0</v>
      </c>
      <c r="S10" s="3">
        <f t="shared" ref="S10:S15" si="3">K10*Q10</f>
        <v>0</v>
      </c>
      <c r="U10" s="14">
        <f>IF(G10="Tier 1",AL11,IF(G10="Tier 2",AM11,IF(G10="Tier 3",AN11,IF(G10="Average",AO11,"Err"))))</f>
        <v>8.5299999999999994</v>
      </c>
      <c r="W10" s="14">
        <f>IF(G10="Tier 1",AL11,IF(G10="Tier 2",AM11,IF(G10="Tier 3",AN11,IF(G10="Average",AO11,"Err"))))</f>
        <v>8.5299999999999994</v>
      </c>
      <c r="Y10" s="3">
        <f>M10*W10</f>
        <v>1023.5999999999999</v>
      </c>
      <c r="AA10" s="26"/>
      <c r="AC10" s="35">
        <f t="shared" ref="AC10:AC15" si="4">IF(H10="Tier 1",AR11,IF(H10="Tier 2",AS11,IF(H10="Tier 3",AT11,IF(H10="Average",AU11,"Err"))))*I10*1000</f>
        <v>113.57500000000002</v>
      </c>
      <c r="AD10" s="1"/>
      <c r="AE10" s="35">
        <f t="shared" si="0"/>
        <v>113.57500000000002</v>
      </c>
      <c r="AG10" s="3">
        <f t="shared" ref="AG10:AG15" si="5">IF(O10&gt;3,(O10-3)*AE10+AC10*3,O10*AC10)</f>
        <v>2725.8</v>
      </c>
      <c r="AI10" s="3"/>
      <c r="AK10" s="30" t="s">
        <v>52</v>
      </c>
      <c r="AL10" s="31">
        <v>30</v>
      </c>
      <c r="AM10" s="31">
        <v>20</v>
      </c>
      <c r="AN10" s="31">
        <v>10</v>
      </c>
      <c r="AO10" s="31">
        <f>AL$6*AL10+AM$6*AM10+AN$6*AN10</f>
        <v>25.1</v>
      </c>
      <c r="AQ10" s="30" t="s">
        <v>54</v>
      </c>
      <c r="AR10" s="34">
        <v>0.08</v>
      </c>
      <c r="AS10" s="34">
        <v>0.06</v>
      </c>
      <c r="AT10" s="34">
        <v>0.05</v>
      </c>
      <c r="AU10" s="34">
        <f>AR$6*AR10+AS$6*AS10+AT$6*AT10</f>
        <v>6.4900000000000013E-2</v>
      </c>
    </row>
    <row r="11" spans="1:47" x14ac:dyDescent="0.25">
      <c r="B11">
        <v>2</v>
      </c>
      <c r="D11" s="20">
        <v>3</v>
      </c>
      <c r="E11" s="18">
        <v>12</v>
      </c>
      <c r="F11" s="27">
        <v>0.2</v>
      </c>
      <c r="G11" s="19" t="s">
        <v>66</v>
      </c>
      <c r="H11" s="19" t="s">
        <v>66</v>
      </c>
      <c r="I11" s="48">
        <v>7</v>
      </c>
      <c r="K11" s="2">
        <f>ROUND(K10*D10,0)</f>
        <v>30</v>
      </c>
      <c r="M11" s="2">
        <f t="shared" si="1"/>
        <v>360</v>
      </c>
      <c r="O11" s="2">
        <f t="shared" si="2"/>
        <v>72</v>
      </c>
      <c r="Q11" s="3">
        <v>40</v>
      </c>
      <c r="S11" s="3">
        <f t="shared" si="3"/>
        <v>1200</v>
      </c>
      <c r="U11" s="14">
        <f>IF(G11="Tier 1",AL12,IF(G11="Tier 2",AM12,IF(G11="Tier 3",AN12,IF(G11="Average",AO12,"Err"))))</f>
        <v>4.2649999999999997</v>
      </c>
      <c r="W11" s="14">
        <f>IF(G11="Tier 1",AL12,IF(G11="Tier 2",AM12,IF(G11="Tier 3",AN12,IF(G11="Average",AO12,"Err"))))</f>
        <v>4.2649999999999997</v>
      </c>
      <c r="Y11" s="3">
        <f t="shared" ref="Y11:Y12" si="6">M11*W11</f>
        <v>1535.3999999999999</v>
      </c>
      <c r="AA11" s="26"/>
      <c r="AC11" s="35">
        <f t="shared" si="4"/>
        <v>105.35</v>
      </c>
      <c r="AD11" s="1"/>
      <c r="AE11" s="35">
        <f t="shared" si="0"/>
        <v>105.35</v>
      </c>
      <c r="AG11" s="3">
        <f t="shared" si="5"/>
        <v>7585.2</v>
      </c>
      <c r="AI11" s="3"/>
      <c r="AK11" s="30" t="s">
        <v>23</v>
      </c>
      <c r="AL11" s="31">
        <v>10</v>
      </c>
      <c r="AM11" s="31">
        <v>7</v>
      </c>
      <c r="AN11" s="31">
        <v>3.5</v>
      </c>
      <c r="AO11" s="31">
        <f>AL$6*AL11+AM$6*AM11+AN$6*AN11</f>
        <v>8.5299999999999994</v>
      </c>
      <c r="AQ11" s="30" t="s">
        <v>23</v>
      </c>
      <c r="AR11" s="34">
        <v>0.02</v>
      </c>
      <c r="AS11" s="34">
        <v>1.4999999999999999E-2</v>
      </c>
      <c r="AT11" s="34">
        <v>1.2500000000000001E-2</v>
      </c>
      <c r="AU11" s="34">
        <f t="shared" ref="AU11:AU16" si="7">AR$6*AR11+AS$6*AS11+AT$6*AT11</f>
        <v>1.6225000000000003E-2</v>
      </c>
    </row>
    <row r="12" spans="1:47" x14ac:dyDescent="0.25">
      <c r="B12">
        <v>3</v>
      </c>
      <c r="D12" s="20">
        <v>3</v>
      </c>
      <c r="E12" s="18">
        <v>12</v>
      </c>
      <c r="F12" s="27">
        <v>0.2</v>
      </c>
      <c r="G12" s="19" t="s">
        <v>66</v>
      </c>
      <c r="H12" s="19" t="s">
        <v>66</v>
      </c>
      <c r="I12" s="48">
        <v>7</v>
      </c>
      <c r="K12" s="2">
        <f>ROUND(K11*D11,0)</f>
        <v>90</v>
      </c>
      <c r="M12" s="2">
        <f t="shared" si="1"/>
        <v>1080</v>
      </c>
      <c r="O12" s="2">
        <f t="shared" si="2"/>
        <v>216</v>
      </c>
      <c r="Q12" s="3">
        <v>85</v>
      </c>
      <c r="S12" s="3">
        <f t="shared" si="3"/>
        <v>7650</v>
      </c>
      <c r="U12" s="14">
        <f>IF(G12="Tier 1",AL13,IF(G12="Tier 2",AM13,IF(G12="Tier 3",AN13,IF(G12="Average",AO13,"Err"))))</f>
        <v>4.2649999999999997</v>
      </c>
      <c r="W12" s="14">
        <f>IF(G12="Tier 1",AL13,IF(G12="Tier 2",AM13,IF(G12="Tier 3",AN13,IF(G12="Average",AO13,"Err"))))</f>
        <v>4.2649999999999997</v>
      </c>
      <c r="Y12" s="3">
        <f t="shared" si="6"/>
        <v>4606.2</v>
      </c>
      <c r="AA12" s="26"/>
      <c r="AC12" s="35">
        <f t="shared" si="4"/>
        <v>58.1</v>
      </c>
      <c r="AD12" s="1"/>
      <c r="AE12" s="35">
        <f t="shared" si="0"/>
        <v>58.1</v>
      </c>
      <c r="AG12" s="3">
        <f t="shared" si="5"/>
        <v>12549.6</v>
      </c>
      <c r="AI12" s="3"/>
      <c r="AK12" s="30" t="s">
        <v>24</v>
      </c>
      <c r="AL12" s="31">
        <v>5</v>
      </c>
      <c r="AM12" s="31">
        <v>3.5</v>
      </c>
      <c r="AN12" s="31">
        <v>1.75</v>
      </c>
      <c r="AO12" s="31">
        <f>AL$6*AL12+AM$6*AM12+AN$6*AN12</f>
        <v>4.2649999999999997</v>
      </c>
      <c r="AQ12" s="30" t="s">
        <v>24</v>
      </c>
      <c r="AR12" s="34">
        <v>1.7500000000000002E-2</v>
      </c>
      <c r="AS12" s="34">
        <v>1.4999999999999999E-2</v>
      </c>
      <c r="AT12" s="34">
        <v>0.01</v>
      </c>
      <c r="AU12" s="34">
        <f t="shared" si="7"/>
        <v>1.5050000000000001E-2</v>
      </c>
    </row>
    <row r="13" spans="1:47" x14ac:dyDescent="0.25">
      <c r="B13">
        <v>4</v>
      </c>
      <c r="D13" s="20">
        <v>3</v>
      </c>
      <c r="E13" s="18">
        <v>12</v>
      </c>
      <c r="F13" s="27">
        <v>0.2</v>
      </c>
      <c r="G13" s="46"/>
      <c r="H13" s="19" t="s">
        <v>66</v>
      </c>
      <c r="I13" s="48">
        <v>7</v>
      </c>
      <c r="K13" s="2">
        <f>ROUND(K12*D12,0)</f>
        <v>270</v>
      </c>
      <c r="M13" s="2">
        <f t="shared" si="1"/>
        <v>3240</v>
      </c>
      <c r="O13" s="2">
        <f t="shared" si="2"/>
        <v>648</v>
      </c>
      <c r="Q13" s="3">
        <v>175</v>
      </c>
      <c r="S13" s="3">
        <f t="shared" si="3"/>
        <v>47250</v>
      </c>
      <c r="U13" s="14"/>
      <c r="W13" s="13"/>
      <c r="Y13" s="3"/>
      <c r="AA13" s="26"/>
      <c r="AC13" s="35">
        <f t="shared" si="4"/>
        <v>40.599999999999994</v>
      </c>
      <c r="AD13" s="1"/>
      <c r="AE13" s="35">
        <f t="shared" si="0"/>
        <v>40.599999999999994</v>
      </c>
      <c r="AG13" s="3">
        <f t="shared" si="5"/>
        <v>26308.799999999996</v>
      </c>
      <c r="AI13" s="3"/>
      <c r="AK13" s="30" t="s">
        <v>25</v>
      </c>
      <c r="AL13" s="31">
        <v>5</v>
      </c>
      <c r="AM13" s="31">
        <v>3.5</v>
      </c>
      <c r="AN13" s="31">
        <v>1.75</v>
      </c>
      <c r="AO13" s="31">
        <f>AL$6*AL13+AM$6*AM13+AN$6*AN13</f>
        <v>4.2649999999999997</v>
      </c>
      <c r="AQ13" s="30" t="s">
        <v>25</v>
      </c>
      <c r="AR13" s="34">
        <v>0.01</v>
      </c>
      <c r="AS13" s="34">
        <v>7.4999999999999997E-3</v>
      </c>
      <c r="AT13" s="34">
        <v>7.4999999999999997E-3</v>
      </c>
      <c r="AU13" s="34">
        <f t="shared" si="7"/>
        <v>8.3000000000000001E-3</v>
      </c>
    </row>
    <row r="14" spans="1:47" x14ac:dyDescent="0.25">
      <c r="B14">
        <v>5</v>
      </c>
      <c r="D14" s="20">
        <v>3</v>
      </c>
      <c r="E14" s="18">
        <v>12</v>
      </c>
      <c r="F14" s="27">
        <v>0.2</v>
      </c>
      <c r="G14" s="46"/>
      <c r="H14" s="19" t="s">
        <v>66</v>
      </c>
      <c r="I14" s="48">
        <v>7</v>
      </c>
      <c r="K14" s="2">
        <f>ROUND(K13*D13,0)</f>
        <v>810</v>
      </c>
      <c r="M14" s="2">
        <f t="shared" si="1"/>
        <v>9720</v>
      </c>
      <c r="O14" s="2">
        <f t="shared" si="2"/>
        <v>1944</v>
      </c>
      <c r="Q14" s="3">
        <v>50</v>
      </c>
      <c r="S14" s="3">
        <f t="shared" si="3"/>
        <v>40500</v>
      </c>
      <c r="U14" s="14"/>
      <c r="W14" s="13"/>
      <c r="Y14" s="3"/>
      <c r="AA14" s="26"/>
      <c r="AC14" s="35">
        <f t="shared" si="4"/>
        <v>40.599999999999994</v>
      </c>
      <c r="AD14" s="1"/>
      <c r="AE14" s="35">
        <f t="shared" si="0"/>
        <v>40.599999999999994</v>
      </c>
      <c r="AG14" s="3">
        <f t="shared" si="5"/>
        <v>78926.399999999994</v>
      </c>
      <c r="AI14" s="3"/>
      <c r="AQ14" s="30" t="s">
        <v>26</v>
      </c>
      <c r="AR14" s="34">
        <v>7.4999999999999997E-3</v>
      </c>
      <c r="AS14" s="34">
        <v>5.0000000000000001E-3</v>
      </c>
      <c r="AT14" s="34">
        <v>5.0000000000000001E-3</v>
      </c>
      <c r="AU14" s="34">
        <f t="shared" si="7"/>
        <v>5.7999999999999996E-3</v>
      </c>
    </row>
    <row r="15" spans="1:47" ht="15.75" thickBot="1" x14ac:dyDescent="0.3">
      <c r="B15">
        <v>6</v>
      </c>
      <c r="D15" s="45"/>
      <c r="E15" s="21">
        <v>12</v>
      </c>
      <c r="F15" s="28">
        <v>0.2</v>
      </c>
      <c r="G15" s="47"/>
      <c r="H15" s="22" t="s">
        <v>66</v>
      </c>
      <c r="I15" s="49">
        <v>7</v>
      </c>
      <c r="K15" s="2">
        <f>ROUND(K14*D14,0)</f>
        <v>2430</v>
      </c>
      <c r="M15" s="2">
        <f t="shared" si="1"/>
        <v>29160</v>
      </c>
      <c r="O15" s="2">
        <f t="shared" si="2"/>
        <v>5832</v>
      </c>
      <c r="Q15" s="3">
        <v>50</v>
      </c>
      <c r="S15" s="3">
        <f t="shared" si="3"/>
        <v>121500</v>
      </c>
      <c r="U15" s="14"/>
      <c r="W15" s="13"/>
      <c r="Y15" s="3"/>
      <c r="AA15" s="26"/>
      <c r="AC15" s="35">
        <f t="shared" si="4"/>
        <v>40.599999999999994</v>
      </c>
      <c r="AD15" s="1"/>
      <c r="AE15" s="35">
        <f t="shared" si="0"/>
        <v>40.599999999999994</v>
      </c>
      <c r="AG15" s="3">
        <f t="shared" si="5"/>
        <v>236779.19999999995</v>
      </c>
      <c r="AI15" s="3"/>
      <c r="AQ15" s="30" t="s">
        <v>27</v>
      </c>
      <c r="AR15" s="34">
        <v>7.4999999999999997E-3</v>
      </c>
      <c r="AS15" s="34">
        <v>5.0000000000000001E-3</v>
      </c>
      <c r="AT15" s="34">
        <v>5.0000000000000001E-3</v>
      </c>
      <c r="AU15" s="34">
        <f t="shared" si="7"/>
        <v>5.7999999999999996E-3</v>
      </c>
    </row>
    <row r="16" spans="1:47" x14ac:dyDescent="0.25">
      <c r="M16" s="2"/>
      <c r="AQ16" s="30" t="s">
        <v>28</v>
      </c>
      <c r="AR16" s="34">
        <v>7.4999999999999997E-3</v>
      </c>
      <c r="AS16" s="34">
        <v>5.0000000000000001E-3</v>
      </c>
      <c r="AT16" s="34">
        <v>5.0000000000000001E-3</v>
      </c>
      <c r="AU16" s="34">
        <f t="shared" si="7"/>
        <v>5.7999999999999996E-3</v>
      </c>
    </row>
    <row r="17" spans="2:36" ht="15.75" thickBot="1" x14ac:dyDescent="0.3">
      <c r="B17" t="s">
        <v>2</v>
      </c>
      <c r="E17" s="17"/>
      <c r="F17" s="17"/>
      <c r="G17" s="17"/>
      <c r="H17" s="17"/>
      <c r="I17" s="17"/>
      <c r="K17" s="4">
        <f>SUM(K10:K16)</f>
        <v>3640</v>
      </c>
      <c r="M17" s="4">
        <f>SUM(M10:M16)</f>
        <v>43680</v>
      </c>
      <c r="O17" s="4">
        <f>SUM(O10:O16)</f>
        <v>8736</v>
      </c>
      <c r="Q17" s="6">
        <f>SUM(Q9:Q16)</f>
        <v>400</v>
      </c>
      <c r="S17" s="6">
        <f>SUM(S9:S16)</f>
        <v>218100</v>
      </c>
      <c r="U17" s="69">
        <f>SUM(U9:U16)</f>
        <v>17.059999999999999</v>
      </c>
      <c r="V17" s="1"/>
      <c r="W17" s="69">
        <f>SUM(W9:W16)</f>
        <v>42.160000000000004</v>
      </c>
      <c r="Y17" s="6">
        <f>SUM(Y9:Y16)</f>
        <v>7491.5</v>
      </c>
      <c r="AA17" s="6">
        <f>SUM(AA9:AA16)</f>
        <v>200</v>
      </c>
      <c r="AC17" s="5">
        <f>SUM(AC9:AC16)</f>
        <v>625.97500000000014</v>
      </c>
      <c r="AE17" s="5">
        <f>SUM(AE9:AE16)</f>
        <v>853.12500000000023</v>
      </c>
      <c r="AG17" s="6">
        <f>SUM(AG9:AG16)</f>
        <v>366010.74999999994</v>
      </c>
      <c r="AI17" s="6">
        <f>SUM(AI9:AI16)</f>
        <v>2000</v>
      </c>
    </row>
    <row r="18" spans="2:36" ht="16.5" thickTop="1" thickBot="1" x14ac:dyDescent="0.3"/>
    <row r="19" spans="2:36" ht="15.75" thickBot="1" x14ac:dyDescent="0.3">
      <c r="J19" s="25"/>
      <c r="T19" s="25"/>
      <c r="AC19" s="25"/>
      <c r="AD19" s="25"/>
      <c r="AE19" s="50"/>
      <c r="AF19" s="51"/>
      <c r="AG19" s="51"/>
      <c r="AH19" s="51"/>
      <c r="AI19" s="51"/>
      <c r="AJ19" s="52"/>
    </row>
    <row r="20" spans="2:36" ht="15.75" thickBot="1" x14ac:dyDescent="0.3">
      <c r="D20" s="64" t="s">
        <v>55</v>
      </c>
      <c r="E20" s="59"/>
      <c r="J20" s="25"/>
      <c r="T20" s="25"/>
      <c r="AC20" s="43"/>
      <c r="AD20" s="25"/>
      <c r="AE20" s="53"/>
      <c r="AF20" s="54"/>
      <c r="AG20" s="55" t="s">
        <v>47</v>
      </c>
      <c r="AH20" s="54"/>
      <c r="AI20" s="58">
        <f>S17+AA17+AI17</f>
        <v>220300</v>
      </c>
      <c r="AJ20" s="61"/>
    </row>
    <row r="21" spans="2:36" x14ac:dyDescent="0.25">
      <c r="D21" s="64" t="s">
        <v>57</v>
      </c>
      <c r="E21" s="65"/>
      <c r="F21" s="65"/>
      <c r="G21" s="65"/>
      <c r="H21" s="65"/>
      <c r="I21" s="59"/>
      <c r="J21" s="25"/>
      <c r="T21" s="25"/>
      <c r="AC21" s="43"/>
      <c r="AD21" s="44"/>
      <c r="AE21" s="53"/>
      <c r="AF21" s="56"/>
      <c r="AG21" s="55" t="s">
        <v>48</v>
      </c>
      <c r="AH21" s="56"/>
      <c r="AI21" s="58">
        <f>AG9+Y9</f>
        <v>1462.05</v>
      </c>
      <c r="AJ21" s="61"/>
    </row>
    <row r="22" spans="2:36" ht="15.75" thickBot="1" x14ac:dyDescent="0.3">
      <c r="D22" s="66" t="s">
        <v>56</v>
      </c>
      <c r="E22" s="67"/>
      <c r="F22" s="67"/>
      <c r="G22" s="67"/>
      <c r="H22" s="67"/>
      <c r="I22" s="60"/>
      <c r="J22" s="25"/>
      <c r="T22" s="25"/>
      <c r="AC22" s="43"/>
      <c r="AD22" s="44"/>
      <c r="AE22" s="53"/>
      <c r="AF22" s="56"/>
      <c r="AG22" s="55" t="s">
        <v>49</v>
      </c>
      <c r="AH22" s="56"/>
      <c r="AI22" s="73">
        <f>AG17-AG9+Y17-Y9</f>
        <v>372040.19999999995</v>
      </c>
      <c r="AJ22" s="61"/>
    </row>
    <row r="23" spans="2:36" x14ac:dyDescent="0.25">
      <c r="J23" s="25"/>
      <c r="T23" s="25"/>
      <c r="AC23" s="43"/>
      <c r="AD23" s="44"/>
      <c r="AE23" s="53"/>
      <c r="AF23" s="56"/>
      <c r="AG23" s="55" t="s">
        <v>76</v>
      </c>
      <c r="AH23" s="56"/>
      <c r="AI23" s="58">
        <f>SUM(AI20:AI22)</f>
        <v>593802.25</v>
      </c>
      <c r="AJ23" s="61"/>
    </row>
    <row r="24" spans="2:36" x14ac:dyDescent="0.25">
      <c r="J24" s="25"/>
      <c r="T24" s="25"/>
      <c r="AC24" s="43"/>
      <c r="AD24" s="44"/>
      <c r="AE24" s="53"/>
      <c r="AF24" s="56"/>
      <c r="AG24" s="55" t="s">
        <v>77</v>
      </c>
      <c r="AH24" s="56"/>
      <c r="AI24" s="58">
        <f>AI23/12</f>
        <v>49483.520833333336</v>
      </c>
      <c r="AJ24" s="61"/>
    </row>
    <row r="25" spans="2:36" ht="15.75" thickBot="1" x14ac:dyDescent="0.3">
      <c r="D25" t="s">
        <v>58</v>
      </c>
      <c r="J25" s="25"/>
      <c r="T25" s="25"/>
      <c r="AC25" s="25"/>
      <c r="AD25" s="25"/>
      <c r="AE25" s="57"/>
      <c r="AF25" s="62"/>
      <c r="AG25" s="62"/>
      <c r="AH25" s="62"/>
      <c r="AI25" s="62"/>
      <c r="AJ25" s="63"/>
    </row>
    <row r="27" spans="2:36" x14ac:dyDescent="0.25">
      <c r="D27" s="68" t="s">
        <v>60</v>
      </c>
    </row>
    <row r="28" spans="2:36" x14ac:dyDescent="0.25">
      <c r="AC28" s="10"/>
    </row>
    <row r="29" spans="2:36" x14ac:dyDescent="0.25">
      <c r="AC29" s="10"/>
    </row>
  </sheetData>
  <mergeCells count="5">
    <mergeCell ref="G6:H6"/>
    <mergeCell ref="AR5:AT5"/>
    <mergeCell ref="Q6:S6"/>
    <mergeCell ref="AC6:AI6"/>
    <mergeCell ref="U6:AA6"/>
  </mergeCells>
  <dataValidations count="1">
    <dataValidation type="list" allowBlank="1" showInputMessage="1" showErrorMessage="1" sqref="G9:G12 H9:H15">
      <formula1>"Tier 1,Tier 2,Tier 3,Average"</formula1>
    </dataValidation>
  </dataValidations>
  <pageMargins left="0.7" right="0.7" top="0.75" bottom="0.75" header="0.3" footer="0.3"/>
  <pageSetup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workbookViewId="0">
      <selection activeCell="D12" sqref="D12"/>
    </sheetView>
  </sheetViews>
  <sheetFormatPr defaultRowHeight="15" x14ac:dyDescent="0.25"/>
  <cols>
    <col min="1" max="1" width="2.7109375" customWidth="1"/>
    <col min="2" max="2" width="41.14062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</cols>
  <sheetData>
    <row r="1" spans="1:8" x14ac:dyDescent="0.25">
      <c r="A1" t="s">
        <v>1</v>
      </c>
    </row>
    <row r="2" spans="1:8" x14ac:dyDescent="0.25">
      <c r="A2" t="s">
        <v>74</v>
      </c>
    </row>
    <row r="5" spans="1:8" x14ac:dyDescent="0.25">
      <c r="D5" s="8"/>
      <c r="E5" s="8"/>
      <c r="F5" s="8"/>
      <c r="G5" s="8"/>
      <c r="H5" s="8" t="s">
        <v>13</v>
      </c>
    </row>
    <row r="6" spans="1:8" x14ac:dyDescent="0.25">
      <c r="D6" s="11" t="s">
        <v>11</v>
      </c>
      <c r="E6" s="8"/>
      <c r="F6" s="11" t="s">
        <v>12</v>
      </c>
      <c r="G6" s="8"/>
      <c r="H6" s="11" t="s">
        <v>14</v>
      </c>
    </row>
    <row r="8" spans="1:8" x14ac:dyDescent="0.25">
      <c r="B8" t="s">
        <v>72</v>
      </c>
      <c r="D8" s="3"/>
      <c r="E8" s="3"/>
      <c r="F8" s="3">
        <v>499</v>
      </c>
      <c r="G8" s="3"/>
      <c r="H8" s="3"/>
    </row>
    <row r="9" spans="1:8" x14ac:dyDescent="0.25">
      <c r="D9" s="3"/>
      <c r="E9" s="3"/>
      <c r="F9" s="3"/>
      <c r="G9" s="3"/>
      <c r="H9" s="3"/>
    </row>
    <row r="10" spans="1:8" x14ac:dyDescent="0.25">
      <c r="B10" t="s">
        <v>68</v>
      </c>
      <c r="D10" s="3">
        <f>10*25.1</f>
        <v>251</v>
      </c>
      <c r="E10" s="3"/>
      <c r="F10" s="3"/>
      <c r="G10" s="3"/>
      <c r="H10" s="3"/>
    </row>
    <row r="11" spans="1:8" x14ac:dyDescent="0.25">
      <c r="B11" t="s">
        <v>50</v>
      </c>
      <c r="D11" s="3">
        <v>200</v>
      </c>
      <c r="E11" s="3"/>
      <c r="F11" s="3"/>
      <c r="G11" s="3"/>
      <c r="H11" s="3"/>
    </row>
    <row r="12" spans="1:8" x14ac:dyDescent="0.25">
      <c r="B12" t="s">
        <v>69</v>
      </c>
      <c r="D12" s="3">
        <f>0.03245*7000*3</f>
        <v>681.45</v>
      </c>
      <c r="E12" s="3"/>
      <c r="F12" s="3"/>
      <c r="G12" s="3"/>
      <c r="H12" s="3"/>
    </row>
    <row r="13" spans="1:8" x14ac:dyDescent="0.25">
      <c r="B13" t="s">
        <v>63</v>
      </c>
      <c r="D13" s="3">
        <v>2000</v>
      </c>
      <c r="E13" s="3"/>
      <c r="F13" s="3"/>
      <c r="G13" s="3"/>
      <c r="H13" s="3"/>
    </row>
    <row r="14" spans="1:8" x14ac:dyDescent="0.25">
      <c r="D14" s="3"/>
      <c r="E14" s="3"/>
      <c r="F14" s="3"/>
      <c r="G14" s="3"/>
      <c r="H14" s="3"/>
    </row>
    <row r="15" spans="1:8" x14ac:dyDescent="0.25">
      <c r="B15" t="s">
        <v>61</v>
      </c>
      <c r="D15" s="12">
        <f>SUM(D8:D14)</f>
        <v>3132.45</v>
      </c>
      <c r="E15" s="3"/>
      <c r="F15" s="12">
        <f>SUM(F8:F14)</f>
        <v>499</v>
      </c>
      <c r="G15" s="3"/>
      <c r="H15" s="12">
        <f>D15-F15</f>
        <v>2633.45</v>
      </c>
    </row>
    <row r="16" spans="1:8" x14ac:dyDescent="0.25">
      <c r="D16" s="3"/>
      <c r="E16" s="3"/>
      <c r="F16" s="3"/>
      <c r="G16" s="3"/>
      <c r="H16" s="3"/>
    </row>
    <row r="17" spans="2:8" x14ac:dyDescent="0.25">
      <c r="B17" t="s">
        <v>15</v>
      </c>
      <c r="D17" s="3"/>
      <c r="E17" s="3"/>
      <c r="F17" s="3" t="s">
        <v>16</v>
      </c>
      <c r="G17" s="3"/>
      <c r="H17" s="3"/>
    </row>
    <row r="18" spans="2:8" x14ac:dyDescent="0.25">
      <c r="B18" t="s">
        <v>73</v>
      </c>
      <c r="D18" s="3" t="s">
        <v>17</v>
      </c>
      <c r="E18" s="3"/>
      <c r="F18" s="3"/>
      <c r="G18" s="3"/>
      <c r="H18" s="3"/>
    </row>
    <row r="19" spans="2:8" x14ac:dyDescent="0.25">
      <c r="B19" t="s">
        <v>31</v>
      </c>
      <c r="D19" s="3" t="s">
        <v>17</v>
      </c>
      <c r="E19" s="3"/>
      <c r="F19" s="3"/>
      <c r="G19" s="3"/>
      <c r="H19" s="3"/>
    </row>
    <row r="20" spans="2:8" x14ac:dyDescent="0.25">
      <c r="B20" t="s">
        <v>18</v>
      </c>
      <c r="D20" s="3" t="s">
        <v>17</v>
      </c>
      <c r="E20" s="3"/>
      <c r="F20" s="3"/>
      <c r="G20" s="3"/>
      <c r="H20" s="3"/>
    </row>
    <row r="23" spans="2:8" x14ac:dyDescent="0.25">
      <c r="B23" t="s">
        <v>62</v>
      </c>
    </row>
    <row r="24" spans="2:8" x14ac:dyDescent="0.25">
      <c r="B24" t="s">
        <v>70</v>
      </c>
    </row>
    <row r="25" spans="2:8" x14ac:dyDescent="0.25">
      <c r="B25" t="s">
        <v>20</v>
      </c>
    </row>
    <row r="26" spans="2:8" x14ac:dyDescent="0.25">
      <c r="B26" t="s">
        <v>30</v>
      </c>
    </row>
    <row r="27" spans="2:8" x14ac:dyDescent="0.25">
      <c r="B27" t="s">
        <v>19</v>
      </c>
    </row>
    <row r="30" spans="2:8" x14ac:dyDescent="0.25">
      <c r="B30" s="68" t="s">
        <v>60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Advisor Revenue Model</vt:lpstr>
      <vt:lpstr>Profit Illustration</vt:lpstr>
      <vt:lpstr>ApptTiers</vt:lpstr>
      <vt:lpstr>Tier_1</vt:lpstr>
      <vt:lpstr>Tier_3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Wilson's PC</dc:creator>
  <cp:lastModifiedBy>The Wilson's PC</cp:lastModifiedBy>
  <cp:lastPrinted>2016-12-20T17:56:44Z</cp:lastPrinted>
  <dcterms:created xsi:type="dcterms:W3CDTF">2016-03-03T18:48:00Z</dcterms:created>
  <dcterms:modified xsi:type="dcterms:W3CDTF">2017-01-03T18:10:59Z</dcterms:modified>
</cp:coreProperties>
</file>